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4575" windowHeight="2265" activeTab="2"/>
  </bookViews>
  <sheets>
    <sheet name="Financial Analysis" sheetId="1" r:id="rId1"/>
    <sheet name="NPV" sheetId="2" r:id="rId2"/>
    <sheet name="IRR" sheetId="3" r:id="rId3"/>
    <sheet name="Payback" sheetId="4" r:id="rId4"/>
  </sheets>
  <definedNames/>
  <calcPr fullCalcOnLoad="1"/>
</workbook>
</file>

<file path=xl/sharedStrings.xml><?xml version="1.0" encoding="utf-8"?>
<sst xmlns="http://schemas.openxmlformats.org/spreadsheetml/2006/main" count="97" uniqueCount="43">
  <si>
    <t>Depreciation</t>
  </si>
  <si>
    <t>EBIDA</t>
  </si>
  <si>
    <t>Interest</t>
  </si>
  <si>
    <t>Operating Expense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</si>
  <si>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</si>
  <si>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</si>
  <si>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</si>
  <si>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</si>
  <si>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</si>
  <si>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</si>
  <si>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</si>
  <si>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</si>
  <si>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</si>
  <si>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</si>
  <si>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</si>
  <si>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</si>
  <si>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</t>
  </si>
  <si>
    <t>Year 2</t>
  </si>
  <si>
    <t>Year 3</t>
  </si>
  <si>
    <t>Total Revenue</t>
  </si>
  <si>
    <t>Revenue Increase MRC</t>
  </si>
  <si>
    <t>Electronics</t>
  </si>
  <si>
    <t>Total Capital Expenditure</t>
  </si>
  <si>
    <t>Year 4</t>
  </si>
  <si>
    <t>Year 5</t>
  </si>
  <si>
    <t>Year</t>
  </si>
  <si>
    <t>Cash Flow</t>
  </si>
  <si>
    <t>Present Value @ 10%</t>
  </si>
  <si>
    <t>Total Net Present Value</t>
  </si>
  <si>
    <t>NPV</t>
  </si>
  <si>
    <t>Present Value @ 15%</t>
  </si>
  <si>
    <t>Cumulative Total</t>
  </si>
  <si>
    <t>Payback based on Discounted Cash Flow</t>
  </si>
  <si>
    <t>Net Income</t>
  </si>
  <si>
    <t>Capital Expenditures</t>
  </si>
  <si>
    <t>Cumulative Contribution</t>
  </si>
  <si>
    <t>5 Year utilizing 3rd party provider</t>
  </si>
  <si>
    <t>5 Year Utilizing 3rd party provider</t>
  </si>
  <si>
    <t>Revenue Increase (recurring monthly)</t>
  </si>
  <si>
    <t>Facilities</t>
  </si>
  <si>
    <t>36 Month internal procurement</t>
  </si>
  <si>
    <t>Example make vs. buy procurement analysis</t>
  </si>
  <si>
    <t>5 Year internal procurement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</si>
</sst>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_);[Red]\(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6" fontId="2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6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"/>
          <c:w val="0.96175"/>
          <c:h val="0.9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Payback!$O$10:$O$15</c:f>
              <c:numCache/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45"/>
          <c:w val="0.797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Payback!$O$31:$O$36</c:f>
              <c:numCache/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4515"/>
          <c:w val="0.14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9</xdr:col>
      <xdr:colOff>352425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228850" y="1152525"/>
        <a:ext cx="52197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26</xdr:row>
      <xdr:rowOff>19050</xdr:rowOff>
    </xdr:from>
    <xdr:to>
      <xdr:col>9</xdr:col>
      <xdr:colOff>295275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2247900" y="49720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0.57421875" style="0" customWidth="1"/>
    <col min="2" max="3" width="12.00390625" style="0" bestFit="1" customWidth="1"/>
    <col min="4" max="4" width="10.00390625" style="0" bestFit="1" customWidth="1"/>
    <col min="5" max="5" width="10.8515625" style="0" customWidth="1"/>
    <col min="6" max="11" width="10.00390625" style="0" bestFit="1" customWidth="1"/>
    <col min="12" max="12" width="10.8515625" style="0" customWidth="1"/>
    <col min="13" max="13" width="11.57421875" style="0" customWidth="1"/>
    <col min="15" max="15" width="10.8515625" style="0" customWidth="1"/>
    <col min="16" max="17" width="11.140625" style="0" bestFit="1" customWidth="1"/>
    <col min="18" max="18" width="12.7109375" style="0" bestFit="1" customWidth="1"/>
    <col min="19" max="19" width="13.140625" style="0" customWidth="1"/>
  </cols>
  <sheetData>
    <row r="1" ht="15">
      <c r="A1" t="s">
        <v>41</v>
      </c>
    </row>
    <row r="3" spans="2:19" ht="15.75" thickBot="1"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O3" s="12" t="s">
        <v>16</v>
      </c>
      <c r="P3" s="12" t="s">
        <v>17</v>
      </c>
      <c r="Q3" s="12" t="s">
        <v>18</v>
      </c>
      <c r="R3" s="12" t="s">
        <v>23</v>
      </c>
      <c r="S3" s="12" t="s">
        <v>24</v>
      </c>
    </row>
    <row r="4" spans="1:15" ht="15.75" thickTop="1">
      <c r="A4" s="1" t="s">
        <v>36</v>
      </c>
      <c r="O4" s="4"/>
    </row>
    <row r="5" spans="1:19" ht="15">
      <c r="A5" t="s">
        <v>38</v>
      </c>
      <c r="B5" s="3">
        <v>6000</v>
      </c>
      <c r="C5" s="3">
        <v>4000</v>
      </c>
      <c r="D5" s="3">
        <v>4000</v>
      </c>
      <c r="E5" s="3">
        <v>4000</v>
      </c>
      <c r="F5" s="3">
        <v>3000</v>
      </c>
      <c r="G5" s="3">
        <v>3000</v>
      </c>
      <c r="H5" s="3">
        <v>2000</v>
      </c>
      <c r="I5" s="3">
        <v>2000</v>
      </c>
      <c r="J5" s="3">
        <v>2000</v>
      </c>
      <c r="K5" s="3">
        <v>2000</v>
      </c>
      <c r="L5" s="3">
        <v>2000</v>
      </c>
      <c r="M5" s="3">
        <v>2000</v>
      </c>
      <c r="N5" s="3"/>
      <c r="O5" s="5"/>
      <c r="P5" s="3"/>
      <c r="Q5" s="3"/>
      <c r="R5" s="3"/>
      <c r="S5" s="3"/>
    </row>
    <row r="6" spans="1:19" ht="15">
      <c r="A6" t="s">
        <v>19</v>
      </c>
      <c r="B6" s="3">
        <f>B5</f>
        <v>6000</v>
      </c>
      <c r="C6" s="3">
        <f>B6+C5</f>
        <v>10000</v>
      </c>
      <c r="D6" s="3">
        <f aca="true" t="shared" si="0" ref="D6:M6">C6+D5</f>
        <v>14000</v>
      </c>
      <c r="E6" s="3">
        <f t="shared" si="0"/>
        <v>18000</v>
      </c>
      <c r="F6" s="3">
        <f t="shared" si="0"/>
        <v>21000</v>
      </c>
      <c r="G6" s="3">
        <f t="shared" si="0"/>
        <v>24000</v>
      </c>
      <c r="H6" s="3">
        <f t="shared" si="0"/>
        <v>26000</v>
      </c>
      <c r="I6" s="3">
        <f t="shared" si="0"/>
        <v>28000</v>
      </c>
      <c r="J6" s="3">
        <f t="shared" si="0"/>
        <v>30000</v>
      </c>
      <c r="K6" s="3">
        <f t="shared" si="0"/>
        <v>32000</v>
      </c>
      <c r="L6" s="3">
        <f t="shared" si="0"/>
        <v>34000</v>
      </c>
      <c r="M6" s="3">
        <f t="shared" si="0"/>
        <v>36000</v>
      </c>
      <c r="N6" s="3"/>
      <c r="O6" s="5">
        <f>SUM(B6:M6)</f>
        <v>279000</v>
      </c>
      <c r="P6" s="3">
        <f>M6*12*110%</f>
        <v>475200.00000000006</v>
      </c>
      <c r="Q6" s="3">
        <f>P6*110%</f>
        <v>522720.0000000001</v>
      </c>
      <c r="R6" s="3">
        <f>Q6</f>
        <v>522720.0000000001</v>
      </c>
      <c r="S6" s="3">
        <f>R6</f>
        <v>522720.0000000001</v>
      </c>
    </row>
    <row r="7" spans="1:19" ht="15.75" thickBot="1">
      <c r="A7" t="s">
        <v>3</v>
      </c>
      <c r="B7" s="3">
        <v>9500</v>
      </c>
      <c r="C7" s="3">
        <v>9500</v>
      </c>
      <c r="D7" s="3">
        <v>9500</v>
      </c>
      <c r="E7" s="3">
        <v>9500</v>
      </c>
      <c r="F7" s="3">
        <v>9500</v>
      </c>
      <c r="G7" s="3">
        <v>9500</v>
      </c>
      <c r="H7" s="3">
        <v>9500</v>
      </c>
      <c r="I7" s="3">
        <v>9500</v>
      </c>
      <c r="J7" s="3">
        <v>9500</v>
      </c>
      <c r="K7" s="3">
        <v>9500</v>
      </c>
      <c r="L7" s="3">
        <v>9500</v>
      </c>
      <c r="M7" s="3">
        <v>9500</v>
      </c>
      <c r="N7" s="3"/>
      <c r="O7" s="5">
        <f>SUM(B7:M7)</f>
        <v>114000</v>
      </c>
      <c r="P7" s="3">
        <f>O7</f>
        <v>114000</v>
      </c>
      <c r="Q7" s="3">
        <f>P7</f>
        <v>114000</v>
      </c>
      <c r="R7" s="3">
        <f>Q7</f>
        <v>114000</v>
      </c>
      <c r="S7" s="3">
        <f>R7</f>
        <v>114000</v>
      </c>
    </row>
    <row r="8" spans="1:19" ht="15">
      <c r="A8" s="1" t="s">
        <v>1</v>
      </c>
      <c r="B8" s="14">
        <f>B6-B7</f>
        <v>-3500</v>
      </c>
      <c r="C8" s="14">
        <f aca="true" t="shared" si="1" ref="C8:M8">C6-C7</f>
        <v>500</v>
      </c>
      <c r="D8" s="14">
        <f t="shared" si="1"/>
        <v>4500</v>
      </c>
      <c r="E8" s="14">
        <f t="shared" si="1"/>
        <v>8500</v>
      </c>
      <c r="F8" s="14">
        <f t="shared" si="1"/>
        <v>11500</v>
      </c>
      <c r="G8" s="14">
        <f t="shared" si="1"/>
        <v>14500</v>
      </c>
      <c r="H8" s="14">
        <f t="shared" si="1"/>
        <v>16500</v>
      </c>
      <c r="I8" s="14">
        <f t="shared" si="1"/>
        <v>18500</v>
      </c>
      <c r="J8" s="14">
        <f t="shared" si="1"/>
        <v>20500</v>
      </c>
      <c r="K8" s="14">
        <f t="shared" si="1"/>
        <v>22500</v>
      </c>
      <c r="L8" s="14">
        <f t="shared" si="1"/>
        <v>24500</v>
      </c>
      <c r="M8" s="14">
        <f t="shared" si="1"/>
        <v>26500</v>
      </c>
      <c r="N8" s="6"/>
      <c r="O8" s="14">
        <f>SUM(B8:M8)</f>
        <v>165000</v>
      </c>
      <c r="P8" s="14">
        <f>P6-P7</f>
        <v>361200.00000000006</v>
      </c>
      <c r="Q8" s="14">
        <f>Q6-Q7</f>
        <v>408720.0000000001</v>
      </c>
      <c r="R8" s="14">
        <f>R6-R7</f>
        <v>408720.0000000001</v>
      </c>
      <c r="S8" s="14">
        <f>S6-S7</f>
        <v>408720.0000000001</v>
      </c>
    </row>
    <row r="9" spans="2:19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3"/>
      <c r="Q9" s="3"/>
      <c r="R9" s="3"/>
      <c r="S9" s="3"/>
    </row>
    <row r="10" spans="2:19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3"/>
      <c r="Q10" s="3"/>
      <c r="R10" s="3"/>
      <c r="S10" s="3"/>
    </row>
    <row r="11" spans="1:19" ht="15">
      <c r="A11" t="s">
        <v>0</v>
      </c>
      <c r="B11" s="3">
        <f>$B18/(12*15)+$B19/(12*5)</f>
        <v>6452.844444444445</v>
      </c>
      <c r="C11" s="3">
        <f aca="true" t="shared" si="2" ref="C11:M11">$B18/(12*15)+$B19/(12*5)</f>
        <v>6452.844444444445</v>
      </c>
      <c r="D11" s="3">
        <f t="shared" si="2"/>
        <v>6452.844444444445</v>
      </c>
      <c r="E11" s="3">
        <f t="shared" si="2"/>
        <v>6452.844444444445</v>
      </c>
      <c r="F11" s="3">
        <f t="shared" si="2"/>
        <v>6452.844444444445</v>
      </c>
      <c r="G11" s="3">
        <f t="shared" si="2"/>
        <v>6452.844444444445</v>
      </c>
      <c r="H11" s="3">
        <f t="shared" si="2"/>
        <v>6452.844444444445</v>
      </c>
      <c r="I11" s="3">
        <f t="shared" si="2"/>
        <v>6452.844444444445</v>
      </c>
      <c r="J11" s="3">
        <f t="shared" si="2"/>
        <v>6452.844444444445</v>
      </c>
      <c r="K11" s="3">
        <f t="shared" si="2"/>
        <v>6452.844444444445</v>
      </c>
      <c r="L11" s="3">
        <f t="shared" si="2"/>
        <v>6452.844444444445</v>
      </c>
      <c r="M11" s="3">
        <f t="shared" si="2"/>
        <v>6452.844444444445</v>
      </c>
      <c r="N11" s="3"/>
      <c r="O11" s="5">
        <f>($B18/15)+($B19/5)</f>
        <v>77434.13333333333</v>
      </c>
      <c r="P11" s="3">
        <f>($B18/15)+($B19/5)</f>
        <v>77434.13333333333</v>
      </c>
      <c r="Q11" s="3">
        <f>($B18/15)+($B19/5)</f>
        <v>77434.13333333333</v>
      </c>
      <c r="R11" s="3">
        <f>($B18/15)+($B19/5)</f>
        <v>77434.13333333333</v>
      </c>
      <c r="S11" s="3">
        <f>($B18/15)+($B19/5)</f>
        <v>77434.13333333333</v>
      </c>
    </row>
    <row r="12" spans="1:19" ht="15">
      <c r="A12" t="s">
        <v>2</v>
      </c>
      <c r="B12" s="3">
        <f>$B20*10%/12</f>
        <v>7147.600000000001</v>
      </c>
      <c r="C12" s="3">
        <f aca="true" t="shared" si="3" ref="C12:M12">$B20*10%/12</f>
        <v>7147.600000000001</v>
      </c>
      <c r="D12" s="3">
        <f t="shared" si="3"/>
        <v>7147.600000000001</v>
      </c>
      <c r="E12" s="3">
        <f t="shared" si="3"/>
        <v>7147.600000000001</v>
      </c>
      <c r="F12" s="3">
        <f t="shared" si="3"/>
        <v>7147.600000000001</v>
      </c>
      <c r="G12" s="3">
        <f t="shared" si="3"/>
        <v>7147.600000000001</v>
      </c>
      <c r="H12" s="3">
        <f t="shared" si="3"/>
        <v>7147.600000000001</v>
      </c>
      <c r="I12" s="3">
        <f t="shared" si="3"/>
        <v>7147.600000000001</v>
      </c>
      <c r="J12" s="3">
        <f t="shared" si="3"/>
        <v>7147.600000000001</v>
      </c>
      <c r="K12" s="3">
        <f t="shared" si="3"/>
        <v>7147.600000000001</v>
      </c>
      <c r="L12" s="3">
        <f t="shared" si="3"/>
        <v>7147.600000000001</v>
      </c>
      <c r="M12" s="3">
        <f t="shared" si="3"/>
        <v>7147.600000000001</v>
      </c>
      <c r="N12" s="3"/>
      <c r="O12" s="5">
        <f>$B20*10%</f>
        <v>85771.20000000001</v>
      </c>
      <c r="P12" s="3">
        <f>$B20*10%</f>
        <v>85771.20000000001</v>
      </c>
      <c r="Q12" s="3">
        <f>$B20*10%</f>
        <v>85771.20000000001</v>
      </c>
      <c r="R12" s="3">
        <f>$B20*10%</f>
        <v>85771.20000000001</v>
      </c>
      <c r="S12" s="3">
        <f>$B20*10%</f>
        <v>85771.20000000001</v>
      </c>
    </row>
    <row r="13" spans="2:19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3"/>
      <c r="Q13" s="3"/>
      <c r="R13" s="3"/>
      <c r="S13" s="3"/>
    </row>
    <row r="14" spans="1:19" ht="15.75" thickBot="1">
      <c r="A14" s="1" t="s">
        <v>33</v>
      </c>
      <c r="B14" s="7">
        <f>B8-(B11+B12)</f>
        <v>-17100.444444444445</v>
      </c>
      <c r="C14" s="7">
        <f aca="true" t="shared" si="4" ref="C14:Q14">C8-(C11+C12)</f>
        <v>-13100.444444444445</v>
      </c>
      <c r="D14" s="7">
        <f t="shared" si="4"/>
        <v>-9100.444444444445</v>
      </c>
      <c r="E14" s="7">
        <f t="shared" si="4"/>
        <v>-5100.444444444445</v>
      </c>
      <c r="F14" s="7">
        <f t="shared" si="4"/>
        <v>-2100.4444444444453</v>
      </c>
      <c r="G14" s="7">
        <f t="shared" si="4"/>
        <v>899.5555555555547</v>
      </c>
      <c r="H14" s="7">
        <f t="shared" si="4"/>
        <v>2899.5555555555547</v>
      </c>
      <c r="I14" s="7">
        <f t="shared" si="4"/>
        <v>4899.555555555555</v>
      </c>
      <c r="J14" s="7">
        <f t="shared" si="4"/>
        <v>6899.555555555555</v>
      </c>
      <c r="K14" s="7">
        <f t="shared" si="4"/>
        <v>8899.555555555555</v>
      </c>
      <c r="L14" s="7">
        <f t="shared" si="4"/>
        <v>10899.555555555555</v>
      </c>
      <c r="M14" s="7">
        <f t="shared" si="4"/>
        <v>12899.555555555555</v>
      </c>
      <c r="N14" s="6"/>
      <c r="O14" s="8">
        <f t="shared" si="4"/>
        <v>1794.666666666657</v>
      </c>
      <c r="P14" s="7">
        <f t="shared" si="4"/>
        <v>197994.66666666672</v>
      </c>
      <c r="Q14" s="7">
        <f t="shared" si="4"/>
        <v>245514.66666666677</v>
      </c>
      <c r="R14" s="7">
        <f>R8-(R11+R12)</f>
        <v>245514.66666666677</v>
      </c>
      <c r="S14" s="7">
        <f>S8-(S11+S12)</f>
        <v>245514.66666666677</v>
      </c>
    </row>
    <row r="15" spans="1:19" ht="15.75" thickTop="1">
      <c r="A15" s="1" t="s">
        <v>35</v>
      </c>
      <c r="B15" s="11">
        <f>B14</f>
        <v>-17100.444444444445</v>
      </c>
      <c r="C15" s="11">
        <f>B15+C14</f>
        <v>-30200.88888888889</v>
      </c>
      <c r="D15" s="11">
        <f aca="true" t="shared" si="5" ref="D15:M15">C15+D14</f>
        <v>-39301.333333333336</v>
      </c>
      <c r="E15" s="11">
        <f t="shared" si="5"/>
        <v>-44401.77777777778</v>
      </c>
      <c r="F15" s="11">
        <f t="shared" si="5"/>
        <v>-46502.222222222226</v>
      </c>
      <c r="G15" s="11">
        <f t="shared" si="5"/>
        <v>-45602.66666666667</v>
      </c>
      <c r="H15" s="11">
        <f t="shared" si="5"/>
        <v>-42703.11111111112</v>
      </c>
      <c r="I15" s="11">
        <f t="shared" si="5"/>
        <v>-37803.55555555556</v>
      </c>
      <c r="J15" s="11">
        <f t="shared" si="5"/>
        <v>-30904.000000000007</v>
      </c>
      <c r="K15" s="11">
        <f t="shared" si="5"/>
        <v>-22004.444444444453</v>
      </c>
      <c r="L15" s="11">
        <f t="shared" si="5"/>
        <v>-11104.888888888898</v>
      </c>
      <c r="M15" s="11">
        <f t="shared" si="5"/>
        <v>1794.666666666657</v>
      </c>
      <c r="N15" s="3"/>
      <c r="O15" s="11">
        <f>O14</f>
        <v>1794.666666666657</v>
      </c>
      <c r="P15" s="11">
        <f>O15+P14</f>
        <v>199789.33333333337</v>
      </c>
      <c r="Q15" s="11">
        <f>P15+Q14</f>
        <v>445304.0000000001</v>
      </c>
      <c r="R15" s="11">
        <f>Q15+R14</f>
        <v>690818.6666666669</v>
      </c>
      <c r="S15" s="11">
        <f>R15+S14</f>
        <v>936333.3333333336</v>
      </c>
    </row>
    <row r="16" spans="1:19" ht="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"/>
      <c r="Q16" s="3"/>
      <c r="R16" s="3"/>
      <c r="S16" s="3"/>
    </row>
    <row r="17" spans="1:19" ht="15">
      <c r="A17" s="1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t="s">
        <v>39</v>
      </c>
      <c r="B18" s="3">
        <v>705812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t="s">
        <v>21</v>
      </c>
      <c r="B19" s="3">
        <v>151900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t="s">
        <v>22</v>
      </c>
      <c r="B20" s="3">
        <f>SUM(B18:B19)</f>
        <v>857712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5.75" thickBot="1">
      <c r="B22" s="10" t="s">
        <v>4</v>
      </c>
      <c r="C22" s="10" t="s">
        <v>5</v>
      </c>
      <c r="D22" s="10" t="s">
        <v>6</v>
      </c>
      <c r="E22" s="10" t="s">
        <v>7</v>
      </c>
      <c r="F22" s="10" t="s">
        <v>8</v>
      </c>
      <c r="G22" s="10" t="s">
        <v>9</v>
      </c>
      <c r="H22" s="10" t="s">
        <v>10</v>
      </c>
      <c r="I22" s="10" t="s">
        <v>11</v>
      </c>
      <c r="J22" s="10" t="s">
        <v>12</v>
      </c>
      <c r="K22" s="10" t="s">
        <v>13</v>
      </c>
      <c r="L22" s="10" t="s">
        <v>14</v>
      </c>
      <c r="M22" s="10" t="s">
        <v>15</v>
      </c>
      <c r="N22" s="13"/>
      <c r="O22" s="10" t="s">
        <v>16</v>
      </c>
      <c r="P22" s="10" t="s">
        <v>17</v>
      </c>
      <c r="Q22" s="10" t="s">
        <v>18</v>
      </c>
      <c r="R22" s="10" t="s">
        <v>23</v>
      </c>
      <c r="S22" s="10" t="s">
        <v>24</v>
      </c>
    </row>
    <row r="23" ht="15">
      <c r="A23" s="1" t="s">
        <v>40</v>
      </c>
    </row>
    <row r="25" spans="1:19" ht="15">
      <c r="A25" t="s">
        <v>20</v>
      </c>
      <c r="B25" s="3">
        <v>6000</v>
      </c>
      <c r="C25" s="3">
        <v>4000</v>
      </c>
      <c r="D25" s="3">
        <v>4000</v>
      </c>
      <c r="E25" s="3">
        <v>4000</v>
      </c>
      <c r="F25" s="3">
        <v>3000</v>
      </c>
      <c r="G25" s="3">
        <v>3000</v>
      </c>
      <c r="H25" s="3">
        <v>2000</v>
      </c>
      <c r="I25" s="3">
        <v>2000</v>
      </c>
      <c r="J25" s="3">
        <v>2000</v>
      </c>
      <c r="K25" s="3">
        <v>2000</v>
      </c>
      <c r="L25" s="3">
        <v>2000</v>
      </c>
      <c r="M25" s="3">
        <v>2000</v>
      </c>
      <c r="N25" s="3"/>
      <c r="O25" s="3"/>
      <c r="P25" s="3"/>
      <c r="Q25" s="3"/>
      <c r="R25" s="3"/>
      <c r="S25" s="3"/>
    </row>
    <row r="26" spans="1:19" ht="15">
      <c r="A26" t="s">
        <v>19</v>
      </c>
      <c r="B26" s="3">
        <f>B25</f>
        <v>6000</v>
      </c>
      <c r="C26" s="3">
        <f aca="true" t="shared" si="6" ref="C26:M26">B26+C25</f>
        <v>10000</v>
      </c>
      <c r="D26" s="3">
        <f t="shared" si="6"/>
        <v>14000</v>
      </c>
      <c r="E26" s="3">
        <f t="shared" si="6"/>
        <v>18000</v>
      </c>
      <c r="F26" s="3">
        <f t="shared" si="6"/>
        <v>21000</v>
      </c>
      <c r="G26" s="3">
        <f t="shared" si="6"/>
        <v>24000</v>
      </c>
      <c r="H26" s="3">
        <f t="shared" si="6"/>
        <v>26000</v>
      </c>
      <c r="I26" s="3">
        <f t="shared" si="6"/>
        <v>28000</v>
      </c>
      <c r="J26" s="3">
        <f t="shared" si="6"/>
        <v>30000</v>
      </c>
      <c r="K26" s="3">
        <f t="shared" si="6"/>
        <v>32000</v>
      </c>
      <c r="L26" s="3">
        <f t="shared" si="6"/>
        <v>34000</v>
      </c>
      <c r="M26" s="3">
        <f t="shared" si="6"/>
        <v>36000</v>
      </c>
      <c r="N26" s="3"/>
      <c r="O26" s="3">
        <f>SUM(B26:M26)</f>
        <v>279000</v>
      </c>
      <c r="P26" s="3">
        <f>M26*12*110%</f>
        <v>475200.00000000006</v>
      </c>
      <c r="Q26" s="3">
        <f>P26*110%</f>
        <v>522720.0000000001</v>
      </c>
      <c r="R26" s="3">
        <f>Q26</f>
        <v>522720.0000000001</v>
      </c>
      <c r="S26" s="3">
        <f>R26</f>
        <v>522720.0000000001</v>
      </c>
    </row>
    <row r="27" spans="1:19" ht="15.75" thickBot="1">
      <c r="A27" t="s">
        <v>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/>
      <c r="O27" s="3">
        <v>0</v>
      </c>
      <c r="P27" s="3">
        <v>0</v>
      </c>
      <c r="Q27" s="3">
        <v>0</v>
      </c>
      <c r="R27" s="3"/>
      <c r="S27" s="3"/>
    </row>
    <row r="28" spans="1:19" ht="15">
      <c r="A28" s="1" t="s">
        <v>1</v>
      </c>
      <c r="B28" s="9">
        <f aca="true" t="shared" si="7" ref="B28:M28">B26-B27</f>
        <v>6000</v>
      </c>
      <c r="C28" s="9">
        <f t="shared" si="7"/>
        <v>10000</v>
      </c>
      <c r="D28" s="9">
        <f t="shared" si="7"/>
        <v>14000</v>
      </c>
      <c r="E28" s="9">
        <f t="shared" si="7"/>
        <v>18000</v>
      </c>
      <c r="F28" s="9">
        <f t="shared" si="7"/>
        <v>21000</v>
      </c>
      <c r="G28" s="9">
        <f t="shared" si="7"/>
        <v>24000</v>
      </c>
      <c r="H28" s="9">
        <f t="shared" si="7"/>
        <v>26000</v>
      </c>
      <c r="I28" s="9">
        <f t="shared" si="7"/>
        <v>28000</v>
      </c>
      <c r="J28" s="9">
        <f t="shared" si="7"/>
        <v>30000</v>
      </c>
      <c r="K28" s="9">
        <f t="shared" si="7"/>
        <v>32000</v>
      </c>
      <c r="L28" s="9">
        <f t="shared" si="7"/>
        <v>34000</v>
      </c>
      <c r="M28" s="9">
        <f t="shared" si="7"/>
        <v>36000</v>
      </c>
      <c r="N28" s="3"/>
      <c r="O28" s="9">
        <f>SUM(B28:M28)</f>
        <v>279000</v>
      </c>
      <c r="P28" s="9">
        <f>P26-P27</f>
        <v>475200.00000000006</v>
      </c>
      <c r="Q28" s="9">
        <f>Q26-Q27</f>
        <v>522720.0000000001</v>
      </c>
      <c r="R28" s="9">
        <f>R26-R27</f>
        <v>522720.0000000001</v>
      </c>
      <c r="S28" s="9">
        <f>S26-S27</f>
        <v>522720.0000000001</v>
      </c>
    </row>
    <row r="29" spans="2:19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t="s">
        <v>0</v>
      </c>
      <c r="B31" s="3">
        <f>$B37/(12*15)+$B38/(12*5)</f>
        <v>13299.094444444443</v>
      </c>
      <c r="C31" s="3">
        <f aca="true" t="shared" si="8" ref="C31:M31">$B37/(12*15)+$B38/(12*5)</f>
        <v>13299.094444444443</v>
      </c>
      <c r="D31" s="3">
        <f t="shared" si="8"/>
        <v>13299.094444444443</v>
      </c>
      <c r="E31" s="3">
        <f t="shared" si="8"/>
        <v>13299.094444444443</v>
      </c>
      <c r="F31" s="3">
        <f t="shared" si="8"/>
        <v>13299.094444444443</v>
      </c>
      <c r="G31" s="3">
        <f t="shared" si="8"/>
        <v>13299.094444444443</v>
      </c>
      <c r="H31" s="3">
        <f t="shared" si="8"/>
        <v>13299.094444444443</v>
      </c>
      <c r="I31" s="3">
        <f t="shared" si="8"/>
        <v>13299.094444444443</v>
      </c>
      <c r="J31" s="3">
        <f t="shared" si="8"/>
        <v>13299.094444444443</v>
      </c>
      <c r="K31" s="3">
        <f t="shared" si="8"/>
        <v>13299.094444444443</v>
      </c>
      <c r="L31" s="3">
        <f t="shared" si="8"/>
        <v>13299.094444444443</v>
      </c>
      <c r="M31" s="3">
        <f t="shared" si="8"/>
        <v>13299.094444444443</v>
      </c>
      <c r="N31" s="3"/>
      <c r="O31" s="5">
        <f>($B37/15)+($B38/5)</f>
        <v>159589.13333333333</v>
      </c>
      <c r="P31" s="5">
        <f>($B37/15)+($B38/5)</f>
        <v>159589.13333333333</v>
      </c>
      <c r="Q31" s="5">
        <f>($B37/15)+($B38/5)</f>
        <v>159589.13333333333</v>
      </c>
      <c r="R31" s="5">
        <f>($B37/15)+($B38/5)</f>
        <v>159589.13333333333</v>
      </c>
      <c r="S31" s="5">
        <f>($B37/15)+($B38/5)</f>
        <v>159589.13333333333</v>
      </c>
    </row>
    <row r="32" spans="1:19" ht="15">
      <c r="A32" t="s">
        <v>2</v>
      </c>
      <c r="B32" s="3">
        <f>$B39*10%/12</f>
        <v>17416.975000000002</v>
      </c>
      <c r="C32" s="3">
        <f aca="true" t="shared" si="9" ref="C32:M32">$B39*10%/12</f>
        <v>17416.975000000002</v>
      </c>
      <c r="D32" s="3">
        <f t="shared" si="9"/>
        <v>17416.975000000002</v>
      </c>
      <c r="E32" s="3">
        <f t="shared" si="9"/>
        <v>17416.975000000002</v>
      </c>
      <c r="F32" s="3">
        <f t="shared" si="9"/>
        <v>17416.975000000002</v>
      </c>
      <c r="G32" s="3">
        <f t="shared" si="9"/>
        <v>17416.975000000002</v>
      </c>
      <c r="H32" s="3">
        <f t="shared" si="9"/>
        <v>17416.975000000002</v>
      </c>
      <c r="I32" s="3">
        <f t="shared" si="9"/>
        <v>17416.975000000002</v>
      </c>
      <c r="J32" s="3">
        <f t="shared" si="9"/>
        <v>17416.975000000002</v>
      </c>
      <c r="K32" s="3">
        <f t="shared" si="9"/>
        <v>17416.975000000002</v>
      </c>
      <c r="L32" s="3">
        <f t="shared" si="9"/>
        <v>17416.975000000002</v>
      </c>
      <c r="M32" s="3">
        <f t="shared" si="9"/>
        <v>17416.975000000002</v>
      </c>
      <c r="N32" s="3"/>
      <c r="O32" s="5">
        <f>$B39*10%</f>
        <v>209003.7</v>
      </c>
      <c r="P32" s="5">
        <f>$B39*10%</f>
        <v>209003.7</v>
      </c>
      <c r="Q32" s="5">
        <f>$B39*10%</f>
        <v>209003.7</v>
      </c>
      <c r="R32" s="5">
        <f>$B39*10%</f>
        <v>209003.7</v>
      </c>
      <c r="S32" s="5">
        <f>$B39*10%</f>
        <v>209003.7</v>
      </c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 thickBot="1">
      <c r="A34" s="1" t="s">
        <v>33</v>
      </c>
      <c r="B34" s="3">
        <f>B28-(B31+B32)</f>
        <v>-24716.069444444445</v>
      </c>
      <c r="C34" s="3">
        <f aca="true" t="shared" si="10" ref="C34:S34">C28-(C31+C32)</f>
        <v>-20716.069444444445</v>
      </c>
      <c r="D34" s="3">
        <f t="shared" si="10"/>
        <v>-16716.069444444445</v>
      </c>
      <c r="E34" s="3">
        <f t="shared" si="10"/>
        <v>-12716.069444444445</v>
      </c>
      <c r="F34" s="3">
        <f t="shared" si="10"/>
        <v>-9716.069444444445</v>
      </c>
      <c r="G34" s="3">
        <f t="shared" si="10"/>
        <v>-6716.069444444445</v>
      </c>
      <c r="H34" s="3">
        <f t="shared" si="10"/>
        <v>-4716.069444444445</v>
      </c>
      <c r="I34" s="3">
        <f t="shared" si="10"/>
        <v>-2716.0694444444453</v>
      </c>
      <c r="J34" s="3">
        <f t="shared" si="10"/>
        <v>-716.0694444444453</v>
      </c>
      <c r="K34" s="3">
        <f t="shared" si="10"/>
        <v>1283.9305555555547</v>
      </c>
      <c r="L34" s="3">
        <f t="shared" si="10"/>
        <v>3283.9305555555547</v>
      </c>
      <c r="M34" s="3">
        <f t="shared" si="10"/>
        <v>5283.930555555555</v>
      </c>
      <c r="N34" s="3"/>
      <c r="O34" s="3">
        <f t="shared" si="10"/>
        <v>-89592.83333333337</v>
      </c>
      <c r="P34" s="3">
        <f t="shared" si="10"/>
        <v>106607.16666666669</v>
      </c>
      <c r="Q34" s="3">
        <f t="shared" si="10"/>
        <v>154127.16666666674</v>
      </c>
      <c r="R34" s="3">
        <f t="shared" si="10"/>
        <v>154127.16666666674</v>
      </c>
      <c r="S34" s="3">
        <f t="shared" si="10"/>
        <v>154127.16666666674</v>
      </c>
    </row>
    <row r="35" spans="1:19" ht="15.75" thickTop="1">
      <c r="A35" s="1" t="s">
        <v>35</v>
      </c>
      <c r="B35" s="11">
        <f>B34</f>
        <v>-24716.069444444445</v>
      </c>
      <c r="C35" s="11">
        <f>B35+C34</f>
        <v>-45432.13888888889</v>
      </c>
      <c r="D35" s="11">
        <f aca="true" t="shared" si="11" ref="D35:M35">C35+D34</f>
        <v>-62148.208333333336</v>
      </c>
      <c r="E35" s="11">
        <f t="shared" si="11"/>
        <v>-74864.27777777778</v>
      </c>
      <c r="F35" s="11">
        <f t="shared" si="11"/>
        <v>-84580.34722222222</v>
      </c>
      <c r="G35" s="11">
        <f t="shared" si="11"/>
        <v>-91296.41666666666</v>
      </c>
      <c r="H35" s="11">
        <f t="shared" si="11"/>
        <v>-96012.4861111111</v>
      </c>
      <c r="I35" s="11">
        <f t="shared" si="11"/>
        <v>-98728.55555555553</v>
      </c>
      <c r="J35" s="11">
        <f t="shared" si="11"/>
        <v>-99444.62499999997</v>
      </c>
      <c r="K35" s="11">
        <f t="shared" si="11"/>
        <v>-98160.69444444441</v>
      </c>
      <c r="L35" s="11">
        <f t="shared" si="11"/>
        <v>-94876.76388888885</v>
      </c>
      <c r="M35" s="11">
        <f t="shared" si="11"/>
        <v>-89592.83333333328</v>
      </c>
      <c r="N35" s="3"/>
      <c r="O35" s="11">
        <f>N35+O34</f>
        <v>-89592.83333333337</v>
      </c>
      <c r="P35" s="11">
        <f>O35+P34</f>
        <v>17014.333333333314</v>
      </c>
      <c r="Q35" s="11">
        <f>P35+Q34</f>
        <v>171141.50000000006</v>
      </c>
      <c r="R35" s="11">
        <f>Q35+R34</f>
        <v>325268.6666666668</v>
      </c>
      <c r="S35" s="11">
        <f>R35+S34</f>
        <v>479395.83333333355</v>
      </c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t="s">
        <v>39</v>
      </c>
      <c r="B37" s="3">
        <v>1938137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>
      <c r="A38" t="s">
        <v>21</v>
      </c>
      <c r="B38" s="3">
        <v>151900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2" ht="15">
      <c r="A39" t="s">
        <v>22</v>
      </c>
      <c r="B39" s="2">
        <f>SUM(B37:B38)</f>
        <v>2090037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33.8515625" style="0" customWidth="1"/>
    <col min="2" max="2" width="18.57421875" style="0" customWidth="1"/>
    <col min="3" max="3" width="21.28125" style="0" customWidth="1"/>
    <col min="4" max="4" width="21.7109375" style="0" customWidth="1"/>
    <col min="5" max="5" width="19.7109375" style="0" customWidth="1"/>
  </cols>
  <sheetData>
    <row r="3" ht="15">
      <c r="A3" t="s">
        <v>29</v>
      </c>
    </row>
    <row r="5" spans="1:4" ht="15">
      <c r="A5" t="s">
        <v>37</v>
      </c>
      <c r="B5" t="s">
        <v>26</v>
      </c>
      <c r="C5" t="s">
        <v>27</v>
      </c>
      <c r="D5" t="s">
        <v>28</v>
      </c>
    </row>
    <row r="7" ht="15">
      <c r="A7" t="s">
        <v>25</v>
      </c>
    </row>
    <row r="8" spans="1:4" ht="15">
      <c r="A8">
        <v>0</v>
      </c>
      <c r="B8" s="3">
        <f>-('Financial Analysis'!B20)</f>
        <v>-857712</v>
      </c>
      <c r="C8">
        <v>1</v>
      </c>
      <c r="D8" s="3">
        <f aca="true" t="shared" si="0" ref="D8:D13">B8*C8</f>
        <v>-857712</v>
      </c>
    </row>
    <row r="9" spans="1:4" ht="15">
      <c r="A9">
        <v>1</v>
      </c>
      <c r="B9" s="3">
        <f>'Financial Analysis'!$O8</f>
        <v>165000</v>
      </c>
      <c r="C9">
        <v>0.9091</v>
      </c>
      <c r="D9" s="3">
        <f t="shared" si="0"/>
        <v>150001.5</v>
      </c>
    </row>
    <row r="10" spans="1:4" ht="15">
      <c r="A10">
        <v>2</v>
      </c>
      <c r="B10" s="3">
        <f>'Financial Analysis'!$P8</f>
        <v>361200.00000000006</v>
      </c>
      <c r="C10">
        <v>0.8264</v>
      </c>
      <c r="D10" s="3">
        <f t="shared" si="0"/>
        <v>298495.68000000005</v>
      </c>
    </row>
    <row r="11" spans="1:4" ht="15">
      <c r="A11">
        <v>3</v>
      </c>
      <c r="B11" s="3">
        <f>'Financial Analysis'!$Q8</f>
        <v>408720.0000000001</v>
      </c>
      <c r="C11">
        <v>0.7513</v>
      </c>
      <c r="D11" s="3">
        <f t="shared" si="0"/>
        <v>307071.33600000007</v>
      </c>
    </row>
    <row r="12" spans="1:4" ht="15">
      <c r="A12">
        <v>4</v>
      </c>
      <c r="B12" s="3">
        <f>'Financial Analysis'!$R8</f>
        <v>408720.0000000001</v>
      </c>
      <c r="C12">
        <v>0.683</v>
      </c>
      <c r="D12" s="3">
        <f t="shared" si="0"/>
        <v>279155.7600000001</v>
      </c>
    </row>
    <row r="13" spans="1:4" ht="15">
      <c r="A13">
        <v>5</v>
      </c>
      <c r="B13" s="3">
        <f>'Financial Analysis'!$S8</f>
        <v>408720.0000000001</v>
      </c>
      <c r="C13">
        <v>0.6209</v>
      </c>
      <c r="D13" s="3">
        <f t="shared" si="0"/>
        <v>253774.24800000008</v>
      </c>
    </row>
    <row r="14" ht="15">
      <c r="D14" s="3">
        <f>SUM(D8:D13)</f>
        <v>430786.5240000003</v>
      </c>
    </row>
    <row r="15" ht="15">
      <c r="D15" s="3"/>
    </row>
    <row r="19" ht="15">
      <c r="A19" t="s">
        <v>29</v>
      </c>
    </row>
    <row r="21" spans="1:4" ht="15">
      <c r="A21" t="s">
        <v>42</v>
      </c>
      <c r="B21" t="s">
        <v>26</v>
      </c>
      <c r="C21" t="s">
        <v>27</v>
      </c>
      <c r="D21" t="s">
        <v>28</v>
      </c>
    </row>
    <row r="23" ht="15">
      <c r="A23" t="s">
        <v>25</v>
      </c>
    </row>
    <row r="24" spans="1:4" ht="15">
      <c r="A24">
        <v>0</v>
      </c>
      <c r="B24" s="3">
        <f>(-'Financial Analysis'!B39)</f>
        <v>-2090037</v>
      </c>
      <c r="C24">
        <v>1</v>
      </c>
      <c r="D24" s="3">
        <f aca="true" t="shared" si="1" ref="D24:D29">B24*C24</f>
        <v>-2090037</v>
      </c>
    </row>
    <row r="25" spans="1:4" ht="15">
      <c r="A25">
        <v>1</v>
      </c>
      <c r="B25" s="3">
        <f>'Financial Analysis'!$O8</f>
        <v>165000</v>
      </c>
      <c r="C25">
        <v>0.9091</v>
      </c>
      <c r="D25" s="3">
        <f t="shared" si="1"/>
        <v>150001.5</v>
      </c>
    </row>
    <row r="26" spans="1:4" ht="15">
      <c r="A26">
        <v>2</v>
      </c>
      <c r="B26" s="3">
        <f>'Financial Analysis'!$P8</f>
        <v>361200.00000000006</v>
      </c>
      <c r="C26">
        <v>0.8264</v>
      </c>
      <c r="D26" s="3">
        <f t="shared" si="1"/>
        <v>298495.68000000005</v>
      </c>
    </row>
    <row r="27" spans="1:4" ht="15">
      <c r="A27">
        <v>3</v>
      </c>
      <c r="B27" s="3">
        <f>'Financial Analysis'!$Q8</f>
        <v>408720.0000000001</v>
      </c>
      <c r="C27">
        <v>0.7513</v>
      </c>
      <c r="D27" s="3">
        <f t="shared" si="1"/>
        <v>307071.33600000007</v>
      </c>
    </row>
    <row r="28" spans="1:4" ht="15">
      <c r="A28">
        <v>4</v>
      </c>
      <c r="B28" s="3">
        <f>'Financial Analysis'!$R8</f>
        <v>408720.0000000001</v>
      </c>
      <c r="C28">
        <v>0.683</v>
      </c>
      <c r="D28" s="3">
        <f t="shared" si="1"/>
        <v>279155.7600000001</v>
      </c>
    </row>
    <row r="29" spans="1:4" ht="15">
      <c r="A29">
        <v>5</v>
      </c>
      <c r="B29" s="3">
        <f>'Financial Analysis'!$S8</f>
        <v>408720.0000000001</v>
      </c>
      <c r="C29">
        <v>0.6209</v>
      </c>
      <c r="D29" s="3">
        <f t="shared" si="1"/>
        <v>253774.24800000008</v>
      </c>
    </row>
    <row r="30" ht="15">
      <c r="D30" s="3">
        <f>SUM(D24:D29)</f>
        <v>-801538.4759999993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D32"/>
  <sheetViews>
    <sheetView tabSelected="1" zoomScalePageLayoutView="0" workbookViewId="0" topLeftCell="A1">
      <selection activeCell="A23" sqref="A23"/>
    </sheetView>
  </sheetViews>
  <sheetFormatPr defaultColWidth="13.140625" defaultRowHeight="15"/>
  <cols>
    <col min="1" max="1" width="34.421875" style="0" customWidth="1"/>
    <col min="2" max="2" width="13.140625" style="0" customWidth="1"/>
    <col min="3" max="3" width="31.140625" style="0" customWidth="1"/>
    <col min="4" max="4" width="22.421875" style="0" bestFit="1" customWidth="1"/>
  </cols>
  <sheetData>
    <row r="5" ht="15">
      <c r="A5" t="s">
        <v>29</v>
      </c>
    </row>
    <row r="7" spans="1:4" ht="15">
      <c r="A7" t="s">
        <v>37</v>
      </c>
      <c r="B7" t="s">
        <v>26</v>
      </c>
      <c r="C7" t="s">
        <v>30</v>
      </c>
      <c r="D7" t="s">
        <v>28</v>
      </c>
    </row>
    <row r="9" ht="15">
      <c r="A9" t="s">
        <v>25</v>
      </c>
    </row>
    <row r="10" spans="1:4" ht="15">
      <c r="A10">
        <v>0</v>
      </c>
      <c r="B10" s="3">
        <f>-('Financial Analysis'!B20)</f>
        <v>-857712</v>
      </c>
      <c r="C10">
        <v>1</v>
      </c>
      <c r="D10" s="3">
        <f aca="true" t="shared" si="0" ref="D10:D15">B10*C10</f>
        <v>-857712</v>
      </c>
    </row>
    <row r="11" spans="1:4" ht="15">
      <c r="A11">
        <v>1</v>
      </c>
      <c r="B11" s="3">
        <f>'Financial Analysis'!O8</f>
        <v>165000</v>
      </c>
      <c r="C11">
        <v>0.8696</v>
      </c>
      <c r="D11" s="3">
        <f t="shared" si="0"/>
        <v>143484</v>
      </c>
    </row>
    <row r="12" spans="1:4" ht="15">
      <c r="A12">
        <v>2</v>
      </c>
      <c r="B12" s="3">
        <f>'Financial Analysis'!P8</f>
        <v>361200.00000000006</v>
      </c>
      <c r="C12">
        <v>0.7561</v>
      </c>
      <c r="D12" s="3">
        <f t="shared" si="0"/>
        <v>273103.32000000007</v>
      </c>
    </row>
    <row r="13" spans="1:4" ht="15">
      <c r="A13">
        <v>3</v>
      </c>
      <c r="B13" s="3">
        <f>'Financial Analysis'!Q8</f>
        <v>408720.0000000001</v>
      </c>
      <c r="C13">
        <v>0.6575</v>
      </c>
      <c r="D13" s="3">
        <f t="shared" si="0"/>
        <v>268733.4000000001</v>
      </c>
    </row>
    <row r="14" spans="1:4" ht="15">
      <c r="A14">
        <v>4</v>
      </c>
      <c r="B14" s="3">
        <f>'Financial Analysis'!R8</f>
        <v>408720.0000000001</v>
      </c>
      <c r="C14">
        <v>0.5718</v>
      </c>
      <c r="D14" s="3">
        <f t="shared" si="0"/>
        <v>233706.09600000005</v>
      </c>
    </row>
    <row r="15" spans="1:4" ht="15">
      <c r="A15">
        <v>5</v>
      </c>
      <c r="B15" s="3">
        <f>'Financial Analysis'!S8</f>
        <v>408720.0000000001</v>
      </c>
      <c r="C15">
        <v>0.4972</v>
      </c>
      <c r="D15" s="3">
        <f t="shared" si="0"/>
        <v>203215.58400000006</v>
      </c>
    </row>
    <row r="16" ht="15">
      <c r="D16" s="3">
        <f>SUM(D10:D15)</f>
        <v>264530.40000000026</v>
      </c>
    </row>
    <row r="21" ht="15">
      <c r="A21" t="s">
        <v>29</v>
      </c>
    </row>
    <row r="23" spans="1:4" ht="15">
      <c r="A23" t="s">
        <v>42</v>
      </c>
      <c r="B23" t="s">
        <v>26</v>
      </c>
      <c r="C23" t="s">
        <v>30</v>
      </c>
      <c r="D23" t="s">
        <v>28</v>
      </c>
    </row>
    <row r="25" ht="15">
      <c r="A25" t="s">
        <v>25</v>
      </c>
    </row>
    <row r="26" spans="1:4" ht="15">
      <c r="A26">
        <v>0</v>
      </c>
      <c r="B26" s="3">
        <f>-('Financial Analysis'!B39)</f>
        <v>-2090037</v>
      </c>
      <c r="C26">
        <v>1</v>
      </c>
      <c r="D26" s="3">
        <f aca="true" t="shared" si="1" ref="D26:D31">B26*C26</f>
        <v>-2090037</v>
      </c>
    </row>
    <row r="27" spans="1:4" ht="15">
      <c r="A27">
        <v>1</v>
      </c>
      <c r="B27" s="3">
        <f>'Financial Analysis'!$O8</f>
        <v>165000</v>
      </c>
      <c r="C27">
        <v>0.8696</v>
      </c>
      <c r="D27" s="3">
        <f t="shared" si="1"/>
        <v>143484</v>
      </c>
    </row>
    <row r="28" spans="1:4" ht="15">
      <c r="A28">
        <v>2</v>
      </c>
      <c r="B28" s="3">
        <f>'Financial Analysis'!$P8</f>
        <v>361200.00000000006</v>
      </c>
      <c r="C28">
        <v>0.7561</v>
      </c>
      <c r="D28" s="3">
        <f t="shared" si="1"/>
        <v>273103.32000000007</v>
      </c>
    </row>
    <row r="29" spans="1:4" ht="15">
      <c r="A29">
        <v>3</v>
      </c>
      <c r="B29" s="3">
        <f>'Financial Analysis'!$Q8</f>
        <v>408720.0000000001</v>
      </c>
      <c r="C29">
        <v>0.6575</v>
      </c>
      <c r="D29" s="3">
        <f t="shared" si="1"/>
        <v>268733.4000000001</v>
      </c>
    </row>
    <row r="30" spans="1:4" ht="15">
      <c r="A30">
        <v>4</v>
      </c>
      <c r="B30" s="3">
        <f>'Financial Analysis'!$R8</f>
        <v>408720.0000000001</v>
      </c>
      <c r="C30">
        <v>0.5718</v>
      </c>
      <c r="D30" s="3">
        <f t="shared" si="1"/>
        <v>233706.09600000005</v>
      </c>
    </row>
    <row r="31" spans="1:4" ht="15">
      <c r="A31">
        <v>5</v>
      </c>
      <c r="B31" s="3">
        <f>'Financial Analysis'!$S8</f>
        <v>408720.0000000001</v>
      </c>
      <c r="C31">
        <v>0.4972</v>
      </c>
      <c r="D31" s="3">
        <f t="shared" si="1"/>
        <v>203215.58400000006</v>
      </c>
    </row>
    <row r="32" ht="15">
      <c r="D32" s="3">
        <f>SUM(D26:D31)</f>
        <v>-967794.5999999996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B4">
      <selection activeCell="M40" sqref="M40"/>
    </sheetView>
  </sheetViews>
  <sheetFormatPr defaultColWidth="9.140625" defaultRowHeight="15"/>
  <cols>
    <col min="1" max="1" width="33.28125" style="0" customWidth="1"/>
    <col min="11" max="11" width="15.00390625" style="0" customWidth="1"/>
    <col min="12" max="12" width="11.57421875" style="0" bestFit="1" customWidth="1"/>
    <col min="13" max="13" width="20.00390625" style="0" bestFit="1" customWidth="1"/>
    <col min="14" max="14" width="22.421875" style="0" bestFit="1" customWidth="1"/>
    <col min="15" max="15" width="16.140625" style="0" bestFit="1" customWidth="1"/>
  </cols>
  <sheetData>
    <row r="2" ht="15">
      <c r="A2" t="s">
        <v>32</v>
      </c>
    </row>
    <row r="5" ht="15">
      <c r="A5" t="s">
        <v>37</v>
      </c>
    </row>
    <row r="7" spans="12:15" ht="15">
      <c r="L7" t="s">
        <v>26</v>
      </c>
      <c r="M7" t="s">
        <v>27</v>
      </c>
      <c r="N7" t="s">
        <v>28</v>
      </c>
      <c r="O7" t="s">
        <v>31</v>
      </c>
    </row>
    <row r="9" ht="15">
      <c r="K9" t="s">
        <v>25</v>
      </c>
    </row>
    <row r="10" spans="11:15" ht="15">
      <c r="K10">
        <v>0</v>
      </c>
      <c r="L10" s="3">
        <v>-857712</v>
      </c>
      <c r="M10">
        <v>1</v>
      </c>
      <c r="N10" s="3">
        <f aca="true" t="shared" si="0" ref="N10:N15">L10*M10</f>
        <v>-857712</v>
      </c>
      <c r="O10" s="3">
        <f>N10</f>
        <v>-857712</v>
      </c>
    </row>
    <row r="11" spans="11:15" ht="15">
      <c r="K11">
        <v>1</v>
      </c>
      <c r="L11" s="3">
        <f>'Financial Analysis'!O8</f>
        <v>165000</v>
      </c>
      <c r="M11">
        <v>0.9091</v>
      </c>
      <c r="N11" s="3">
        <f t="shared" si="0"/>
        <v>150001.5</v>
      </c>
      <c r="O11" s="3">
        <f>O10+N11</f>
        <v>-707710.5</v>
      </c>
    </row>
    <row r="12" spans="11:15" ht="15">
      <c r="K12">
        <v>2</v>
      </c>
      <c r="L12" s="3">
        <f>'Financial Analysis'!P8</f>
        <v>361200.00000000006</v>
      </c>
      <c r="M12">
        <v>0.8264</v>
      </c>
      <c r="N12" s="3">
        <f t="shared" si="0"/>
        <v>298495.68000000005</v>
      </c>
      <c r="O12" s="3">
        <f>O11+N12</f>
        <v>-409214.81999999995</v>
      </c>
    </row>
    <row r="13" spans="11:15" ht="15">
      <c r="K13">
        <v>3</v>
      </c>
      <c r="L13" s="3">
        <f>'Financial Analysis'!Q8</f>
        <v>408720.0000000001</v>
      </c>
      <c r="M13">
        <v>0.7513</v>
      </c>
      <c r="N13" s="3">
        <f t="shared" si="0"/>
        <v>307071.33600000007</v>
      </c>
      <c r="O13" s="3">
        <f>O12+N13</f>
        <v>-102143.48399999988</v>
      </c>
    </row>
    <row r="14" spans="11:15" ht="15">
      <c r="K14">
        <v>4</v>
      </c>
      <c r="L14" s="3">
        <f>'Financial Analysis'!Q8</f>
        <v>408720.0000000001</v>
      </c>
      <c r="M14">
        <v>0.683</v>
      </c>
      <c r="N14" s="3">
        <f t="shared" si="0"/>
        <v>279155.7600000001</v>
      </c>
      <c r="O14" s="3">
        <f>O13+N14</f>
        <v>177012.27600000025</v>
      </c>
    </row>
    <row r="15" spans="11:15" ht="15">
      <c r="K15">
        <v>5</v>
      </c>
      <c r="L15" s="3">
        <f>'Financial Analysis'!S8</f>
        <v>408720.0000000001</v>
      </c>
      <c r="M15">
        <v>0.6209</v>
      </c>
      <c r="N15" s="3">
        <f t="shared" si="0"/>
        <v>253774.24800000008</v>
      </c>
      <c r="O15" s="3">
        <f>O14+N15</f>
        <v>430786.5240000003</v>
      </c>
    </row>
    <row r="16" ht="15">
      <c r="N16" s="3">
        <f>SUM(N10:N15)</f>
        <v>430786.5240000003</v>
      </c>
    </row>
    <row r="27" ht="15">
      <c r="A27" t="s">
        <v>42</v>
      </c>
    </row>
    <row r="28" spans="12:15" ht="15">
      <c r="L28" t="s">
        <v>26</v>
      </c>
      <c r="M28" t="s">
        <v>27</v>
      </c>
      <c r="N28" t="s">
        <v>28</v>
      </c>
      <c r="O28" t="s">
        <v>31</v>
      </c>
    </row>
    <row r="30" ht="15">
      <c r="K30" t="s">
        <v>25</v>
      </c>
    </row>
    <row r="31" spans="11:15" ht="15">
      <c r="K31">
        <v>0</v>
      </c>
      <c r="L31" s="3">
        <v>-2090037</v>
      </c>
      <c r="M31">
        <v>1</v>
      </c>
      <c r="N31" s="3">
        <f aca="true" t="shared" si="1" ref="N31:N36">L31*M31</f>
        <v>-2090037</v>
      </c>
      <c r="O31" s="3">
        <f>N31</f>
        <v>-2090037</v>
      </c>
    </row>
    <row r="32" spans="11:15" ht="15">
      <c r="K32">
        <v>1</v>
      </c>
      <c r="L32" s="3">
        <f>'Financial Analysis'!O8</f>
        <v>165000</v>
      </c>
      <c r="M32">
        <v>0.9091</v>
      </c>
      <c r="N32" s="3">
        <f t="shared" si="1"/>
        <v>150001.5</v>
      </c>
      <c r="O32" s="3">
        <f>O31+N32</f>
        <v>-1940035.5</v>
      </c>
    </row>
    <row r="33" spans="11:15" ht="15">
      <c r="K33">
        <v>2</v>
      </c>
      <c r="L33" s="3">
        <f>'Financial Analysis'!P8</f>
        <v>361200.00000000006</v>
      </c>
      <c r="M33">
        <v>0.8264</v>
      </c>
      <c r="N33" s="3">
        <f t="shared" si="1"/>
        <v>298495.68000000005</v>
      </c>
      <c r="O33" s="3">
        <f>O32+N33</f>
        <v>-1641539.8199999998</v>
      </c>
    </row>
    <row r="34" spans="11:15" ht="15">
      <c r="K34">
        <v>3</v>
      </c>
      <c r="L34" s="3">
        <f>'Financial Analysis'!Q8</f>
        <v>408720.0000000001</v>
      </c>
      <c r="M34">
        <v>0.7513</v>
      </c>
      <c r="N34" s="3">
        <f t="shared" si="1"/>
        <v>307071.33600000007</v>
      </c>
      <c r="O34" s="3">
        <f>O33+N34</f>
        <v>-1334468.4839999997</v>
      </c>
    </row>
    <row r="35" spans="11:15" ht="15">
      <c r="K35">
        <v>4</v>
      </c>
      <c r="L35" s="3">
        <f>'Financial Analysis'!Q8</f>
        <v>408720.0000000001</v>
      </c>
      <c r="M35">
        <v>0.683</v>
      </c>
      <c r="N35" s="3">
        <f t="shared" si="1"/>
        <v>279155.7600000001</v>
      </c>
      <c r="O35" s="3">
        <f>O34+N35</f>
        <v>-1055312.7239999995</v>
      </c>
    </row>
    <row r="36" spans="11:15" ht="15">
      <c r="K36">
        <v>5</v>
      </c>
      <c r="L36" s="3">
        <f>'Financial Analysis'!S8</f>
        <v>408720.0000000001</v>
      </c>
      <c r="M36">
        <v>0.6209</v>
      </c>
      <c r="N36" s="3">
        <f t="shared" si="1"/>
        <v>253774.24800000008</v>
      </c>
      <c r="O36" s="3">
        <f>O35+N36</f>
        <v>-801538.4759999993</v>
      </c>
    </row>
    <row r="37" ht="15">
      <c r="N37" s="3">
        <f>SUM(N31:N36)</f>
        <v>-801538.4759999993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Procurement Planning</dc:subject>
  <dc:creator/>
  <cp:keywords/>
  <dc:description>The Project Diva copyright 2009.</dc:description>
  <cp:lastModifiedBy>pbiron</cp:lastModifiedBy>
  <cp:lastPrinted>2009-02-12T17:07:06Z</cp:lastPrinted>
  <dcterms:created xsi:type="dcterms:W3CDTF">2009-02-12T16:36:05Z</dcterms:created>
  <dcterms:modified xsi:type="dcterms:W3CDTF">2009-08-14T21:15:18Z</dcterms:modified>
  <cp:category/>
  <cp:version/>
  <cp:contentType/>
  <cp:contentStatus/>
</cp:coreProperties>
</file>